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<sst xmlns="http://schemas.openxmlformats.org/spreadsheetml/2006/main" count="1600" uniqueCount="315">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</sst>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311</v>
      </c>
      <c r="N3" s="241" t="s">
        <v>312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307</v>
      </c>
      <c r="F4" s="243" t="s">
        <v>116</v>
      </c>
      <c r="G4" s="245" t="s">
        <v>308</v>
      </c>
      <c r="H4" s="247" t="s">
        <v>309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314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310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506592.9199999999</v>
      </c>
      <c r="G8" s="18">
        <f aca="true" t="shared" si="0" ref="G8:G54">F8-E8</f>
        <v>3067.449999999895</v>
      </c>
      <c r="H8" s="45">
        <f>F8/E8*100</f>
        <v>100.60919460538906</v>
      </c>
      <c r="I8" s="31">
        <f aca="true" t="shared" si="1" ref="I8:I54">F8-D8</f>
        <v>-65696.08000000007</v>
      </c>
      <c r="J8" s="31">
        <f aca="true" t="shared" si="2" ref="J8:J14">F8/D8*100</f>
        <v>88.5204713003395</v>
      </c>
      <c r="K8" s="18">
        <f>K9+K15+K18+K19+K20+K32</f>
        <v>105368.12799999998</v>
      </c>
      <c r="L8" s="18"/>
      <c r="M8" s="18">
        <f>M9+M15+M18+M19+M20+M32+M17</f>
        <v>44772.97000000001</v>
      </c>
      <c r="N8" s="18">
        <f>N9+N15+N18+N19+N20+N32+N17</f>
        <v>25713.670000000006</v>
      </c>
      <c r="O8" s="31">
        <f aca="true" t="shared" si="3" ref="O8:O54">N8-M8</f>
        <v>-19059.300000000003</v>
      </c>
      <c r="P8" s="31">
        <f>F8/M8*100</f>
        <v>1131.4704385257442</v>
      </c>
      <c r="Q8" s="31">
        <f>N8-33748.16</f>
        <v>-8034.489999999998</v>
      </c>
      <c r="R8" s="125">
        <f>N8/33748.16</f>
        <v>0.7619280577074425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281503.36</v>
      </c>
      <c r="G9" s="43">
        <f t="shared" si="0"/>
        <v>11638.23999999999</v>
      </c>
      <c r="H9" s="35">
        <f aca="true" t="shared" si="4" ref="H9:H32">F9/E9*100</f>
        <v>104.31261364936677</v>
      </c>
      <c r="I9" s="50">
        <f t="shared" si="1"/>
        <v>-31186.640000000014</v>
      </c>
      <c r="J9" s="50">
        <f t="shared" si="2"/>
        <v>90.02633918577504</v>
      </c>
      <c r="K9" s="132">
        <f>F9-316022.19/75*60</f>
        <v>28685.60799999998</v>
      </c>
      <c r="L9" s="132">
        <f>F9/(316022.19/75*60)*100</f>
        <v>111.34635830477599</v>
      </c>
      <c r="M9" s="35">
        <f>E9-вересень!E9</f>
        <v>21250.570000000007</v>
      </c>
      <c r="N9" s="35">
        <f>F9-вересень!F9</f>
        <v>17127.95000000001</v>
      </c>
      <c r="O9" s="47">
        <f t="shared" si="3"/>
        <v>-4122.619999999995</v>
      </c>
      <c r="P9" s="50">
        <f aca="true" t="shared" si="5" ref="P9:P32">N9/M9*100</f>
        <v>80.5999556717773</v>
      </c>
      <c r="Q9" s="132">
        <f>N9-26568.11</f>
        <v>-9440.159999999989</v>
      </c>
      <c r="R9" s="133">
        <f>N9/26568.11</f>
        <v>0.6446807845947646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249397.46</v>
      </c>
      <c r="G10" s="135">
        <f t="shared" si="0"/>
        <v>13436.639999999985</v>
      </c>
      <c r="H10" s="137">
        <f t="shared" si="4"/>
        <v>105.69443689846474</v>
      </c>
      <c r="I10" s="136">
        <f t="shared" si="1"/>
        <v>8987.459999999992</v>
      </c>
      <c r="J10" s="136">
        <f t="shared" si="2"/>
        <v>103.73838858616529</v>
      </c>
      <c r="K10" s="138">
        <f>F10-281171.58/75*60</f>
        <v>24460.195999999996</v>
      </c>
      <c r="L10" s="138">
        <f>F10/(281171.58/75*60)*100</f>
        <v>110.87423024759472</v>
      </c>
      <c r="M10" s="137">
        <f>E10-вересень!E10</f>
        <v>17470.570000000007</v>
      </c>
      <c r="N10" s="137">
        <f>F10-вересень!F10</f>
        <v>15460.979999999981</v>
      </c>
      <c r="O10" s="138">
        <f t="shared" si="3"/>
        <v>-2009.5900000000256</v>
      </c>
      <c r="P10" s="136">
        <f t="shared" si="5"/>
        <v>88.49728429009457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14564.24</v>
      </c>
      <c r="G11" s="135">
        <f t="shared" si="0"/>
        <v>-4353.660000000002</v>
      </c>
      <c r="H11" s="137">
        <f t="shared" si="4"/>
        <v>76.98655770460779</v>
      </c>
      <c r="I11" s="136">
        <f t="shared" si="1"/>
        <v>-9135.76</v>
      </c>
      <c r="J11" s="136">
        <f t="shared" si="2"/>
        <v>61.45248945147679</v>
      </c>
      <c r="K11" s="138">
        <f>F11-21169.22/75*60</f>
        <v>-2371.136000000004</v>
      </c>
      <c r="L11" s="138">
        <f>F11/(21169.22/75*60)*100</f>
        <v>85.99891729596081</v>
      </c>
      <c r="M11" s="137">
        <f>E11-вересень!E11</f>
        <v>2130</v>
      </c>
      <c r="N11" s="137">
        <f>F11-вересень!F11</f>
        <v>561.5499999999993</v>
      </c>
      <c r="O11" s="138">
        <f t="shared" si="3"/>
        <v>-1568.4500000000007</v>
      </c>
      <c r="P11" s="136">
        <f t="shared" si="5"/>
        <v>26.36384976525818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4042.81</v>
      </c>
      <c r="G12" s="135">
        <f t="shared" si="0"/>
        <v>-406.19000000000005</v>
      </c>
      <c r="H12" s="137">
        <f t="shared" si="4"/>
        <v>90.87008316475612</v>
      </c>
      <c r="I12" s="136">
        <f t="shared" si="1"/>
        <v>-1757.19</v>
      </c>
      <c r="J12" s="136">
        <f t="shared" si="2"/>
        <v>69.70362068965518</v>
      </c>
      <c r="K12" s="138">
        <f>F12-5687.46/75*60</f>
        <v>-507.1580000000008</v>
      </c>
      <c r="L12" s="138">
        <f>F12/(5687.46*60)*100</f>
        <v>1.1847145591646653</v>
      </c>
      <c r="M12" s="137">
        <f>E12-вересень!E12</f>
        <v>540</v>
      </c>
      <c r="N12" s="137">
        <f>F12-вересень!F12</f>
        <v>298.1700000000001</v>
      </c>
      <c r="O12" s="138">
        <f t="shared" si="3"/>
        <v>-241.82999999999993</v>
      </c>
      <c r="P12" s="136">
        <f t="shared" si="5"/>
        <v>55.21666666666668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5936.29</v>
      </c>
      <c r="G13" s="135">
        <f t="shared" si="0"/>
        <v>-1007.1099999999997</v>
      </c>
      <c r="H13" s="137">
        <f t="shared" si="4"/>
        <v>85.49543451335082</v>
      </c>
      <c r="I13" s="136">
        <f t="shared" si="1"/>
        <v>-2463.71</v>
      </c>
      <c r="J13" s="136">
        <f t="shared" si="2"/>
        <v>70.67011904761905</v>
      </c>
      <c r="K13" s="138">
        <f>F13-7878.81/75*60</f>
        <v>-366.7580000000007</v>
      </c>
      <c r="L13" s="138">
        <f>F13/(7878.81/75*60)*100</f>
        <v>94.1812596064634</v>
      </c>
      <c r="M13" s="137">
        <f>E13-вересень!E13</f>
        <v>720</v>
      </c>
      <c r="N13" s="137">
        <f>F13-вересень!F13</f>
        <v>206.05000000000018</v>
      </c>
      <c r="O13" s="138">
        <f t="shared" si="3"/>
        <v>-513.9499999999998</v>
      </c>
      <c r="P13" s="136">
        <f t="shared" si="5"/>
        <v>28.618055555555582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7562.57</v>
      </c>
      <c r="G14" s="135">
        <f t="shared" si="0"/>
        <v>3968.5699999999997</v>
      </c>
      <c r="H14" s="137">
        <f t="shared" si="4"/>
        <v>210.4220923761825</v>
      </c>
      <c r="I14" s="136">
        <f t="shared" si="1"/>
        <v>3182.5699999999997</v>
      </c>
      <c r="J14" s="136">
        <f t="shared" si="2"/>
        <v>172.66141552511417</v>
      </c>
      <c r="K14" s="138">
        <f>F14-115.12/75*60</f>
        <v>7470.474</v>
      </c>
      <c r="L14" s="138">
        <f>F14/(115.12/75*60)*100</f>
        <v>8211.616139680333</v>
      </c>
      <c r="M14" s="137">
        <f>E14-вересень!E14</f>
        <v>390</v>
      </c>
      <c r="N14" s="137">
        <f>F14-вересень!F14</f>
        <v>601.21</v>
      </c>
      <c r="O14" s="138">
        <f t="shared" si="3"/>
        <v>211.21000000000004</v>
      </c>
      <c r="P14" s="136">
        <f t="shared" si="5"/>
        <v>154.15641025641028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-614.03</v>
      </c>
      <c r="G15" s="43">
        <f t="shared" si="0"/>
        <v>-785.43</v>
      </c>
      <c r="H15" s="35"/>
      <c r="I15" s="50">
        <f t="shared" si="1"/>
        <v>-614.03</v>
      </c>
      <c r="J15" s="50" t="e">
        <f>F15/D15*100</f>
        <v>#DIV/0!</v>
      </c>
      <c r="K15" s="53">
        <f>F15-(-880.89)</f>
        <v>266.86</v>
      </c>
      <c r="L15" s="53">
        <f>F15/(-880.89)*100</f>
        <v>69.70563861549115</v>
      </c>
      <c r="M15" s="35">
        <f>E15-вересень!E15</f>
        <v>0</v>
      </c>
      <c r="N15" s="35">
        <f>F15-вересень!F15</f>
        <v>52.66000000000008</v>
      </c>
      <c r="O15" s="47">
        <f t="shared" si="3"/>
        <v>52.66000000000008</v>
      </c>
      <c r="P15" s="50"/>
      <c r="Q15" s="50">
        <f>N15-358.81</f>
        <v>-306.1499999999999</v>
      </c>
      <c r="R15" s="126">
        <f>N15/358.81</f>
        <v>0.14676291073269998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F17-0.04</f>
        <v>0.049999999999999996</v>
      </c>
      <c r="L17" s="138"/>
      <c r="M17" s="35">
        <f>E17-вересень!E17</f>
        <v>0</v>
      </c>
      <c r="N17" s="35">
        <f>F17-вересень!F17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51911.1</v>
      </c>
      <c r="G19" s="43">
        <f t="shared" si="0"/>
        <v>-5611.6500000000015</v>
      </c>
      <c r="H19" s="35">
        <f t="shared" si="4"/>
        <v>90.24446849290064</v>
      </c>
      <c r="I19" s="50">
        <f t="shared" si="1"/>
        <v>-10298.900000000001</v>
      </c>
      <c r="J19" s="178">
        <f>F19/D19*100</f>
        <v>83.44494454267803</v>
      </c>
      <c r="K19" s="179">
        <f>F19-0</f>
        <v>51911.1</v>
      </c>
      <c r="L19" s="180"/>
      <c r="M19" s="35">
        <f>E19-вересень!E19</f>
        <v>6800</v>
      </c>
      <c r="N19" s="35">
        <f>F19-вересень!F19</f>
        <v>442.2299999999959</v>
      </c>
      <c r="O19" s="47">
        <f t="shared" si="3"/>
        <v>-6357.770000000004</v>
      </c>
      <c r="P19" s="50">
        <f t="shared" si="5"/>
        <v>6.503382352941117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168192.62</v>
      </c>
      <c r="G20" s="43">
        <f t="shared" si="0"/>
        <v>-2001.2799999999988</v>
      </c>
      <c r="H20" s="35">
        <f t="shared" si="4"/>
        <v>98.82411766814204</v>
      </c>
      <c r="I20" s="50">
        <f t="shared" si="1"/>
        <v>-21677.380000000005</v>
      </c>
      <c r="J20" s="178">
        <f aca="true" t="shared" si="6" ref="J20:J46">F20/D20*100</f>
        <v>88.58304102807185</v>
      </c>
      <c r="K20" s="178">
        <f>K21+K25+K26+K27</f>
        <v>26287.05000000001</v>
      </c>
      <c r="L20" s="136"/>
      <c r="M20" s="35">
        <f>E20-вересень!E20</f>
        <v>16715.5</v>
      </c>
      <c r="N20" s="35">
        <f>F20-вересень!F20</f>
        <v>8086.029999999999</v>
      </c>
      <c r="O20" s="47">
        <f t="shared" si="3"/>
        <v>-8629.470000000001</v>
      </c>
      <c r="P20" s="50">
        <f t="shared" si="5"/>
        <v>48.37444288235469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91232.09</v>
      </c>
      <c r="G21" s="43">
        <f t="shared" si="0"/>
        <v>-5050.309999999998</v>
      </c>
      <c r="H21" s="35">
        <f t="shared" si="4"/>
        <v>94.75469036916404</v>
      </c>
      <c r="I21" s="50">
        <f t="shared" si="1"/>
        <v>-19067.910000000003</v>
      </c>
      <c r="J21" s="178">
        <f t="shared" si="6"/>
        <v>82.71268359020853</v>
      </c>
      <c r="K21" s="178">
        <f>K22+K23+K24</f>
        <v>22528.250000000004</v>
      </c>
      <c r="L21" s="136"/>
      <c r="M21" s="35">
        <f>E21-вересень!E21</f>
        <v>10382</v>
      </c>
      <c r="N21" s="35">
        <f>F21-вересень!F21</f>
        <v>2252.770000000004</v>
      </c>
      <c r="O21" s="47">
        <f t="shared" si="3"/>
        <v>-8129.229999999996</v>
      </c>
      <c r="P21" s="50">
        <f t="shared" si="5"/>
        <v>21.69880562512044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9891.55</v>
      </c>
      <c r="G22" s="135">
        <f t="shared" si="0"/>
        <v>-753.8500000000004</v>
      </c>
      <c r="H22" s="137">
        <f t="shared" si="4"/>
        <v>92.91853758430871</v>
      </c>
      <c r="I22" s="136">
        <f t="shared" si="1"/>
        <v>-808.4500000000007</v>
      </c>
      <c r="J22" s="136">
        <f t="shared" si="6"/>
        <v>92.44439252336448</v>
      </c>
      <c r="K22" s="136">
        <f>F22-437</f>
        <v>9454.55</v>
      </c>
      <c r="L22" s="136">
        <f>F22/437*100</f>
        <v>2263.512585812357</v>
      </c>
      <c r="M22" s="137">
        <f>E22-вересень!E22</f>
        <v>1851</v>
      </c>
      <c r="N22" s="137">
        <f>F22-вересень!F22</f>
        <v>759.869999999999</v>
      </c>
      <c r="O22" s="138">
        <f t="shared" si="3"/>
        <v>-1091.130000000001</v>
      </c>
      <c r="P22" s="136">
        <f t="shared" si="5"/>
        <v>41.051863857374336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3384.07</v>
      </c>
      <c r="G23" s="135">
        <f t="shared" si="0"/>
        <v>1292.0700000000002</v>
      </c>
      <c r="H23" s="137">
        <f t="shared" si="4"/>
        <v>161.76242829827916</v>
      </c>
      <c r="I23" s="136">
        <f t="shared" si="1"/>
        <v>1284.0700000000002</v>
      </c>
      <c r="J23" s="136">
        <f t="shared" si="6"/>
        <v>161.14619047619047</v>
      </c>
      <c r="K23" s="136">
        <f>F23-0</f>
        <v>3384.07</v>
      </c>
      <c r="L23" s="136"/>
      <c r="M23" s="137">
        <f>E23-вересень!E23</f>
        <v>305</v>
      </c>
      <c r="N23" s="137">
        <f>F23-вересень!F23</f>
        <v>50.440000000000055</v>
      </c>
      <c r="O23" s="138">
        <f t="shared" si="3"/>
        <v>-254.55999999999995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77956.47</v>
      </c>
      <c r="G24" s="135">
        <f t="shared" si="0"/>
        <v>-5588.529999999999</v>
      </c>
      <c r="H24" s="137">
        <f t="shared" si="4"/>
        <v>93.31075468310492</v>
      </c>
      <c r="I24" s="136">
        <f t="shared" si="1"/>
        <v>-19543.53</v>
      </c>
      <c r="J24" s="136">
        <f t="shared" si="6"/>
        <v>79.95535384615384</v>
      </c>
      <c r="K24" s="224">
        <f>F24-68266.84</f>
        <v>9689.630000000005</v>
      </c>
      <c r="L24" s="224">
        <f>F24/68266.84*100</f>
        <v>114.19375790647408</v>
      </c>
      <c r="M24" s="137">
        <f>E24-вересень!E24</f>
        <v>8226</v>
      </c>
      <c r="N24" s="137">
        <f>F24-вересень!F24</f>
        <v>1442.4600000000064</v>
      </c>
      <c r="O24" s="138">
        <f t="shared" si="3"/>
        <v>-6783.539999999994</v>
      </c>
      <c r="P24" s="136">
        <f t="shared" si="5"/>
        <v>17.535375638220355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55.85</v>
      </c>
      <c r="G25" s="43">
        <f t="shared" si="0"/>
        <v>4.350000000000001</v>
      </c>
      <c r="H25" s="35">
        <f t="shared" si="4"/>
        <v>108.44660194174757</v>
      </c>
      <c r="I25" s="50">
        <f t="shared" si="1"/>
        <v>-14.149999999999999</v>
      </c>
      <c r="J25" s="178">
        <f t="shared" si="6"/>
        <v>79.78571428571429</v>
      </c>
      <c r="K25" s="178">
        <f>F25-48.79</f>
        <v>7.060000000000002</v>
      </c>
      <c r="L25" s="178">
        <f>F25/48.79*100</f>
        <v>114.47017831522854</v>
      </c>
      <c r="M25" s="35">
        <f>E25-вересень!E25</f>
        <v>10</v>
      </c>
      <c r="N25" s="35">
        <f>F25-вересень!F25</f>
        <v>0</v>
      </c>
      <c r="O25" s="47">
        <f t="shared" si="3"/>
        <v>-10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-727.31</v>
      </c>
      <c r="G26" s="43">
        <f t="shared" si="0"/>
        <v>-727.31</v>
      </c>
      <c r="H26" s="35"/>
      <c r="I26" s="50">
        <f t="shared" si="1"/>
        <v>-727.31</v>
      </c>
      <c r="J26" s="136"/>
      <c r="K26" s="178">
        <f>F26-5295.66</f>
        <v>-6022.969999999999</v>
      </c>
      <c r="L26" s="178">
        <f>F26/5295.66*100</f>
        <v>-13.734076583466463</v>
      </c>
      <c r="M26" s="35">
        <f>E26-вересень!E26</f>
        <v>0</v>
      </c>
      <c r="N26" s="35">
        <f>F26-вересень!F26</f>
        <v>-21.329999999999927</v>
      </c>
      <c r="O26" s="47">
        <f t="shared" si="3"/>
        <v>-21.329999999999927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77631.99</v>
      </c>
      <c r="G27" s="43">
        <f t="shared" si="0"/>
        <v>3771.9900000000052</v>
      </c>
      <c r="H27" s="35">
        <f t="shared" si="4"/>
        <v>105.10694557270513</v>
      </c>
      <c r="I27" s="50">
        <f t="shared" si="1"/>
        <v>-1868.0099999999948</v>
      </c>
      <c r="J27" s="178">
        <f t="shared" si="6"/>
        <v>97.65030188679246</v>
      </c>
      <c r="K27" s="132">
        <f>F27-67857.28</f>
        <v>9774.710000000006</v>
      </c>
      <c r="L27" s="132">
        <f>F27/67857.28*100</f>
        <v>114.40480667660124</v>
      </c>
      <c r="M27" s="35">
        <f>E27-вересень!E27</f>
        <v>6323.5</v>
      </c>
      <c r="N27" s="35">
        <f>F27-вересень!F27</f>
        <v>5854.590000000011</v>
      </c>
      <c r="O27" s="47">
        <f t="shared" si="3"/>
        <v>-468.90999999998894</v>
      </c>
      <c r="P27" s="50">
        <f t="shared" si="5"/>
        <v>92.5846445797424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18381.99</v>
      </c>
      <c r="G29" s="135">
        <f t="shared" si="0"/>
        <v>301.9900000000016</v>
      </c>
      <c r="H29" s="137">
        <f t="shared" si="4"/>
        <v>101.67029867256639</v>
      </c>
      <c r="I29" s="136">
        <f t="shared" si="1"/>
        <v>-818.0099999999984</v>
      </c>
      <c r="J29" s="136">
        <f t="shared" si="6"/>
        <v>95.73953125000001</v>
      </c>
      <c r="K29" s="139">
        <f>F29-18415.97</f>
        <v>-33.97999999999956</v>
      </c>
      <c r="L29" s="139">
        <f>F29/18415.97*100</f>
        <v>99.81548623287289</v>
      </c>
      <c r="M29" s="137">
        <f>E29-вересень!E29</f>
        <v>1300</v>
      </c>
      <c r="N29" s="137">
        <f>F29-вересень!F29</f>
        <v>642.2300000000032</v>
      </c>
      <c r="O29" s="138">
        <f t="shared" si="3"/>
        <v>-657.7699999999968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59228.33</v>
      </c>
      <c r="G30" s="135">
        <f t="shared" si="0"/>
        <v>3448.3300000000017</v>
      </c>
      <c r="H30" s="137">
        <f t="shared" si="4"/>
        <v>106.18201864467551</v>
      </c>
      <c r="I30" s="136">
        <f t="shared" si="1"/>
        <v>-1071.6699999999983</v>
      </c>
      <c r="J30" s="136">
        <f t="shared" si="6"/>
        <v>98.22276948590381</v>
      </c>
      <c r="K30" s="139">
        <f>F30-49440.11</f>
        <v>9788.220000000001</v>
      </c>
      <c r="L30" s="139">
        <f>F30/49440.11*100</f>
        <v>119.79813556240065</v>
      </c>
      <c r="M30" s="137">
        <f>E30-вересень!E30</f>
        <v>5023.5</v>
      </c>
      <c r="N30" s="137">
        <f>F30-вересень!F30</f>
        <v>5212.360000000001</v>
      </c>
      <c r="O30" s="138">
        <f t="shared" si="3"/>
        <v>188.86000000000058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5583.98</v>
      </c>
      <c r="G32" s="43">
        <f t="shared" si="0"/>
        <v>-175.32000000000062</v>
      </c>
      <c r="H32" s="35">
        <f t="shared" si="4"/>
        <v>96.95588005486778</v>
      </c>
      <c r="I32" s="50">
        <f t="shared" si="1"/>
        <v>-1916.0200000000004</v>
      </c>
      <c r="J32" s="178">
        <f t="shared" si="6"/>
        <v>74.45306666666666</v>
      </c>
      <c r="K32" s="178">
        <f>F32-7378.96</f>
        <v>-1794.9800000000005</v>
      </c>
      <c r="L32" s="178">
        <f>F32/7378.96*100</f>
        <v>75.67434977286771</v>
      </c>
      <c r="M32" s="35">
        <f>E32-вересень!E32</f>
        <v>6.900000000000546</v>
      </c>
      <c r="N32" s="35">
        <f>F32-вересень!F32</f>
        <v>4.799999999999272</v>
      </c>
      <c r="O32" s="47">
        <f t="shared" si="3"/>
        <v>-2.1000000000012733</v>
      </c>
      <c r="P32" s="50">
        <f t="shared" si="5"/>
        <v>69.5652173912883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34310.34</v>
      </c>
      <c r="G33" s="44">
        <f t="shared" si="0"/>
        <v>1760.069999999996</v>
      </c>
      <c r="H33" s="45">
        <f aca="true" t="shared" si="7" ref="H33:H38">F33/E33*100</f>
        <v>105.40723625333983</v>
      </c>
      <c r="I33" s="31">
        <f t="shared" si="1"/>
        <v>-1329.2300000000032</v>
      </c>
      <c r="J33" s="31">
        <f t="shared" si="6"/>
        <v>96.27035343019008</v>
      </c>
      <c r="K33" s="18">
        <f>K34+K35+K36+K37+K38+K41+K42+K47+K48+K52+K40</f>
        <v>23522.170000000002</v>
      </c>
      <c r="L33" s="18"/>
      <c r="M33" s="18">
        <f>M34+M35+M36+M37+M38+M41+M42+M47+M48+M52+M40+M39</f>
        <v>5900.27</v>
      </c>
      <c r="N33" s="18">
        <f>N34+N35+N36+N37+N38+N41+N42+N47+N48+N52+N40+N39</f>
        <v>6065.71</v>
      </c>
      <c r="O33" s="49">
        <f t="shared" si="3"/>
        <v>165.4399999999996</v>
      </c>
      <c r="P33" s="31">
        <f>N33/M33*100</f>
        <v>102.80393948073564</v>
      </c>
      <c r="Q33" s="31">
        <f>N33-1017.63</f>
        <v>5048.08</v>
      </c>
      <c r="R33" s="127">
        <f>N33/1017.63</f>
        <v>5.96062419543449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330.71</v>
      </c>
      <c r="G36" s="43">
        <f t="shared" si="0"/>
        <v>90.70999999999998</v>
      </c>
      <c r="H36" s="35">
        <f t="shared" si="7"/>
        <v>137.79583333333332</v>
      </c>
      <c r="I36" s="50">
        <f t="shared" si="1"/>
        <v>90.70999999999998</v>
      </c>
      <c r="J36" s="50"/>
      <c r="K36" s="50">
        <f>F36-279.6</f>
        <v>51.10999999999996</v>
      </c>
      <c r="L36" s="50">
        <f>F36/279.6*100</f>
        <v>118.2796852646638</v>
      </c>
      <c r="M36" s="35">
        <f>E36-вересень!E36</f>
        <v>0</v>
      </c>
      <c r="N36" s="35">
        <f>F36-вересень!F36</f>
        <v>8.729999999999961</v>
      </c>
      <c r="O36" s="47">
        <f t="shared" si="3"/>
        <v>8.729999999999961</v>
      </c>
      <c r="P36" s="50"/>
      <c r="Q36" s="50">
        <f>N36-4.23</f>
        <v>4.499999999999961</v>
      </c>
      <c r="R36" s="126">
        <f>N36/4.23</f>
        <v>2.063829787234033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120.5</v>
      </c>
      <c r="G38" s="43">
        <f t="shared" si="0"/>
        <v>0.5</v>
      </c>
      <c r="H38" s="35">
        <f t="shared" si="7"/>
        <v>100.41666666666667</v>
      </c>
      <c r="I38" s="50">
        <f t="shared" si="1"/>
        <v>-19.5</v>
      </c>
      <c r="J38" s="50">
        <f t="shared" si="6"/>
        <v>86.07142857142858</v>
      </c>
      <c r="K38" s="50">
        <f>F38-112.45</f>
        <v>8.049999999999997</v>
      </c>
      <c r="L38" s="50">
        <f>F38/112.45*100</f>
        <v>107.15873721654067</v>
      </c>
      <c r="M38" s="35">
        <f>E38-вересень!E38</f>
        <v>15</v>
      </c>
      <c r="N38" s="35">
        <f>F38-вересень!F38</f>
        <v>3.3900000000000006</v>
      </c>
      <c r="O38" s="47">
        <f t="shared" si="3"/>
        <v>-11.61</v>
      </c>
      <c r="P38" s="50">
        <f>N38/M38*100</f>
        <v>22.600000000000005</v>
      </c>
      <c r="Q38" s="50">
        <f>N38-9.02</f>
        <v>-5.629999999999999</v>
      </c>
      <c r="R38" s="126">
        <f>N38/9.02</f>
        <v>0.3758314855875832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8050.08</v>
      </c>
      <c r="G40" s="43">
        <f t="shared" si="0"/>
        <v>-786.9200000000001</v>
      </c>
      <c r="H40" s="35">
        <f aca="true" t="shared" si="8" ref="H40:H46">F40/E40*100</f>
        <v>91.09516804345365</v>
      </c>
      <c r="I40" s="50">
        <f t="shared" si="1"/>
        <v>-949.9200000000001</v>
      </c>
      <c r="J40" s="50"/>
      <c r="K40" s="50">
        <f>F40-0</f>
        <v>8050.08</v>
      </c>
      <c r="L40" s="50"/>
      <c r="M40" s="35">
        <f>E40-вересень!E40</f>
        <v>900</v>
      </c>
      <c r="N40" s="35">
        <f>F40-вересень!F40</f>
        <v>444.6199999999999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5979.61</v>
      </c>
      <c r="G42" s="43">
        <f t="shared" si="0"/>
        <v>-411.6900000000005</v>
      </c>
      <c r="H42" s="35">
        <f t="shared" si="8"/>
        <v>93.55858745482138</v>
      </c>
      <c r="I42" s="50">
        <f t="shared" si="1"/>
        <v>-1120.3900000000003</v>
      </c>
      <c r="J42" s="50">
        <f t="shared" si="6"/>
        <v>84.21985915492958</v>
      </c>
      <c r="K42" s="50">
        <f>F42-865.17</f>
        <v>5114.44</v>
      </c>
      <c r="L42" s="50">
        <f>F42/865.17*100</f>
        <v>691.1485603985344</v>
      </c>
      <c r="M42" s="35">
        <f>E42-вересень!E42</f>
        <v>592.3000000000002</v>
      </c>
      <c r="N42" s="35">
        <f>F42-вересень!F42</f>
        <v>257.65999999999985</v>
      </c>
      <c r="O42" s="47">
        <f t="shared" si="3"/>
        <v>-334.6400000000003</v>
      </c>
      <c r="P42" s="50">
        <f>N42/M42*100</f>
        <v>43.50160391693395</v>
      </c>
      <c r="Q42" s="50">
        <f>N42-79.51</f>
        <v>178.14999999999986</v>
      </c>
      <c r="R42" s="126">
        <f>N42/79.51</f>
        <v>3.2405986668343583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835.5</v>
      </c>
      <c r="G43" s="135">
        <f t="shared" si="0"/>
        <v>-74.5</v>
      </c>
      <c r="H43" s="35">
        <f t="shared" si="8"/>
        <v>91.8131868131868</v>
      </c>
      <c r="I43" s="136">
        <f t="shared" si="1"/>
        <v>-264.5</v>
      </c>
      <c r="J43" s="136">
        <f t="shared" si="6"/>
        <v>75.95454545454545</v>
      </c>
      <c r="K43" s="136">
        <f>F43-757.36</f>
        <v>78.13999999999999</v>
      </c>
      <c r="L43" s="136">
        <f>F43/757.36*100</f>
        <v>110.31741840076053</v>
      </c>
      <c r="M43" s="137">
        <f>E43-вересень!E43</f>
        <v>70</v>
      </c>
      <c r="N43" s="137">
        <f>F43-вересень!F43</f>
        <v>33.65999999999997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5099.29</v>
      </c>
      <c r="G46" s="135">
        <f t="shared" si="0"/>
        <v>-310.71000000000004</v>
      </c>
      <c r="H46" s="35">
        <f t="shared" si="8"/>
        <v>94.25674676524953</v>
      </c>
      <c r="I46" s="136">
        <f t="shared" si="1"/>
        <v>-818.71</v>
      </c>
      <c r="J46" s="136">
        <f t="shared" si="6"/>
        <v>86.16576546130449</v>
      </c>
      <c r="K46" s="136">
        <f>F46-107.81</f>
        <v>4991.48</v>
      </c>
      <c r="L46" s="136">
        <f>F46/107.81*100</f>
        <v>4729.885910397922</v>
      </c>
      <c r="M46" s="137">
        <f>E46-вересень!E46</f>
        <v>512</v>
      </c>
      <c r="N46" s="137">
        <f>F46-вересень!F46</f>
        <v>224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3934.11</v>
      </c>
      <c r="G48" s="43">
        <f t="shared" si="0"/>
        <v>484.1100000000001</v>
      </c>
      <c r="H48" s="35">
        <f>F48/E48*100</f>
        <v>114.03217391304348</v>
      </c>
      <c r="I48" s="50">
        <f t="shared" si="1"/>
        <v>-265.8899999999999</v>
      </c>
      <c r="J48" s="50">
        <f>F48/D48*100</f>
        <v>93.66928571428572</v>
      </c>
      <c r="K48" s="50">
        <f>F48-3446.94</f>
        <v>487.1700000000001</v>
      </c>
      <c r="L48" s="50">
        <f>F48/3446.94*100</f>
        <v>114.13340528120595</v>
      </c>
      <c r="M48" s="35">
        <f>E48-вересень!E48</f>
        <v>360</v>
      </c>
      <c r="N48" s="35">
        <f>F48-вересень!F48</f>
        <v>362.6600000000003</v>
      </c>
      <c r="O48" s="47">
        <f t="shared" si="3"/>
        <v>2.6600000000003092</v>
      </c>
      <c r="P48" s="50">
        <f aca="true" t="shared" si="9" ref="P48:P53">N48/M48*100</f>
        <v>100.73888888888898</v>
      </c>
      <c r="Q48" s="50">
        <f>N48-277.38</f>
        <v>85.28000000000031</v>
      </c>
      <c r="R48" s="126">
        <f>N48/277.38</f>
        <v>1.307448265916794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1033.7</v>
      </c>
      <c r="G51" s="135">
        <f t="shared" si="0"/>
        <v>1033.7</v>
      </c>
      <c r="H51" s="137"/>
      <c r="I51" s="136">
        <f t="shared" si="1"/>
        <v>1033.7</v>
      </c>
      <c r="J51" s="136"/>
      <c r="K51" s="219">
        <f>F51-838.39</f>
        <v>195.31000000000006</v>
      </c>
      <c r="L51" s="219">
        <f>F51/838.39*100</f>
        <v>123.29584083779625</v>
      </c>
      <c r="M51" s="35">
        <f>E51-вересень!E51</f>
        <v>0</v>
      </c>
      <c r="N51" s="35">
        <f>F51-вересень!F51</f>
        <v>54.5</v>
      </c>
      <c r="O51" s="138">
        <f t="shared" si="3"/>
        <v>54.5</v>
      </c>
      <c r="P51" s="136"/>
      <c r="Q51" s="50">
        <f>N51-64.93</f>
        <v>-10.430000000000007</v>
      </c>
      <c r="R51" s="126">
        <f>N51/64.93</f>
        <v>0.8393654705066994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540921.99</v>
      </c>
      <c r="G55" s="44">
        <f>F55-E55</f>
        <v>4824.650000000023</v>
      </c>
      <c r="H55" s="45">
        <f>F55/E55*100</f>
        <v>100.89995783228471</v>
      </c>
      <c r="I55" s="31">
        <f>F55-D55</f>
        <v>-67033.07999999996</v>
      </c>
      <c r="J55" s="31">
        <f>F55/D55*100</f>
        <v>88.97400756934226</v>
      </c>
      <c r="K55" s="31">
        <f>K8+K33+K53+K54</f>
        <v>128886.94799999999</v>
      </c>
      <c r="L55" s="31">
        <f>F55/(F55-K55)*100</f>
        <v>131.2805792862637</v>
      </c>
      <c r="M55" s="18">
        <f>M8+M33+M53+M54</f>
        <v>50675.44</v>
      </c>
      <c r="N55" s="18">
        <f>N8+N33+N53+N54</f>
        <v>31783.380000000005</v>
      </c>
      <c r="O55" s="49">
        <f>N55-M55</f>
        <v>-18892.059999999998</v>
      </c>
      <c r="P55" s="31">
        <f>N55/M55*100</f>
        <v>62.719494887464236</v>
      </c>
      <c r="Q55" s="31">
        <f>N55-34768</f>
        <v>-2984.6199999999953</v>
      </c>
      <c r="R55" s="171">
        <f>N55/34768</f>
        <v>0.9141561205706398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593.11</v>
      </c>
      <c r="G64" s="43">
        <f t="shared" si="10"/>
        <v>-1006.89</v>
      </c>
      <c r="H64" s="35"/>
      <c r="I64" s="53">
        <f t="shared" si="11"/>
        <v>-1906.8899999999999</v>
      </c>
      <c r="J64" s="53">
        <f t="shared" si="13"/>
        <v>23.724400000000003</v>
      </c>
      <c r="K64" s="53">
        <f>F64-1754.79</f>
        <v>-1161.6799999999998</v>
      </c>
      <c r="L64" s="53">
        <f>F64/1754.79*100</f>
        <v>33.79948597837918</v>
      </c>
      <c r="M64" s="35">
        <f>E64-вересень!E64</f>
        <v>0</v>
      </c>
      <c r="N64" s="35">
        <f>F64-вересень!F64</f>
        <v>0.009999999999990905</v>
      </c>
      <c r="O64" s="47">
        <f t="shared" si="12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7122.63</v>
      </c>
      <c r="G65" s="43">
        <f t="shared" si="10"/>
        <v>386.65000000000055</v>
      </c>
      <c r="H65" s="35">
        <f>F65/E65*100</f>
        <v>105.74007048714516</v>
      </c>
      <c r="I65" s="53">
        <f t="shared" si="11"/>
        <v>-4453.37</v>
      </c>
      <c r="J65" s="53">
        <f t="shared" si="13"/>
        <v>61.52928472702143</v>
      </c>
      <c r="K65" s="53">
        <f>F65-2762.1</f>
        <v>4360.530000000001</v>
      </c>
      <c r="L65" s="53">
        <f>F65/2762.1*100</f>
        <v>257.8700988378408</v>
      </c>
      <c r="M65" s="35">
        <f>E65-вересень!E65</f>
        <v>1273.8199999999997</v>
      </c>
      <c r="N65" s="35">
        <f>F65-вересень!F65</f>
        <v>3135</v>
      </c>
      <c r="O65" s="47">
        <f t="shared" si="12"/>
        <v>1861.1800000000003</v>
      </c>
      <c r="P65" s="53">
        <f>N65/M65*100</f>
        <v>246.1101254494356</v>
      </c>
      <c r="Q65" s="53">
        <f>N65-450.01</f>
        <v>2684.99</v>
      </c>
      <c r="R65" s="129">
        <f>N65/450.01</f>
        <v>6.966511855292104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1879.08</v>
      </c>
      <c r="G66" s="43">
        <f t="shared" si="10"/>
        <v>546.1799999999998</v>
      </c>
      <c r="H66" s="35">
        <f>F66/E66*100</f>
        <v>140.97681746567633</v>
      </c>
      <c r="I66" s="53">
        <f t="shared" si="11"/>
        <v>-1120.92</v>
      </c>
      <c r="J66" s="53">
        <f t="shared" si="13"/>
        <v>62.636</v>
      </c>
      <c r="K66" s="53">
        <f>F66-1134.02</f>
        <v>745.06</v>
      </c>
      <c r="L66" s="53">
        <f>F66/1134.02*100</f>
        <v>165.70078129133526</v>
      </c>
      <c r="M66" s="35">
        <f>E66-вересень!E66</f>
        <v>148.10000000000014</v>
      </c>
      <c r="N66" s="35">
        <f>F66-вересень!F66</f>
        <v>20</v>
      </c>
      <c r="O66" s="47">
        <f t="shared" si="12"/>
        <v>-128.10000000000014</v>
      </c>
      <c r="P66" s="53">
        <f>N66/M66*100</f>
        <v>13.504388926401067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9594.82</v>
      </c>
      <c r="G67" s="55">
        <f t="shared" si="10"/>
        <v>-74.05999999999949</v>
      </c>
      <c r="H67" s="65">
        <f>F67/E67*100</f>
        <v>99.23403744797743</v>
      </c>
      <c r="I67" s="54">
        <f t="shared" si="11"/>
        <v>-7481.18</v>
      </c>
      <c r="J67" s="54">
        <f t="shared" si="13"/>
        <v>56.18892012180838</v>
      </c>
      <c r="K67" s="54">
        <f>K64+K65+K66</f>
        <v>3943.9100000000008</v>
      </c>
      <c r="L67" s="54"/>
      <c r="M67" s="55">
        <f>M64+M65+M66</f>
        <v>1421.9199999999998</v>
      </c>
      <c r="N67" s="55">
        <f>N64+N65+N66</f>
        <v>3155.01</v>
      </c>
      <c r="O67" s="54">
        <f t="shared" si="12"/>
        <v>1733.0900000000004</v>
      </c>
      <c r="P67" s="54">
        <f>N67/M67*100</f>
        <v>221.8837909305728</v>
      </c>
      <c r="Q67" s="54">
        <f>N67-7985.28</f>
        <v>-4830.2699999999995</v>
      </c>
      <c r="R67" s="173">
        <f>N67/7985.28</f>
        <v>0.39510323996152924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29.66</v>
      </c>
      <c r="G72" s="43">
        <f>F72-E72</f>
        <v>-3.7600000000000016</v>
      </c>
      <c r="H72" s="35">
        <f>F72/E72*100</f>
        <v>88.74925194494314</v>
      </c>
      <c r="I72" s="53">
        <f>F72-D72</f>
        <v>-12.34</v>
      </c>
      <c r="J72" s="53">
        <f>F72/D72*100</f>
        <v>70.61904761904762</v>
      </c>
      <c r="K72" s="53">
        <f>F72-33.03</f>
        <v>-3.370000000000001</v>
      </c>
      <c r="L72" s="53">
        <f>F72/33.03*100</f>
        <v>89.7971541023312</v>
      </c>
      <c r="M72" s="35">
        <f>E72-вересень!E72</f>
        <v>1.2000000000000028</v>
      </c>
      <c r="N72" s="35">
        <f>F72-вересень!F72</f>
        <v>0.4400000000000013</v>
      </c>
      <c r="O72" s="47">
        <f>N72-M72</f>
        <v>-0.7600000000000016</v>
      </c>
      <c r="P72" s="53">
        <f>N72/M72*100</f>
        <v>36.666666666666686</v>
      </c>
      <c r="Q72" s="53">
        <f>N72-0.45</f>
        <v>-0.009999999999998732</v>
      </c>
      <c r="R72" s="129">
        <f>N72/0.45</f>
        <v>0.9777777777777806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9571.28</v>
      </c>
      <c r="G74" s="44">
        <f>F74-E74</f>
        <v>-180.01999999999862</v>
      </c>
      <c r="H74" s="45">
        <f>F74/E74*100</f>
        <v>98.15388717401784</v>
      </c>
      <c r="I74" s="31">
        <f>F74-D74</f>
        <v>-7600.719999999999</v>
      </c>
      <c r="J74" s="31">
        <f>F74/D74*100</f>
        <v>55.73771255532263</v>
      </c>
      <c r="K74" s="31">
        <f>K62+K67+K71+K72</f>
        <v>3568.110000000001</v>
      </c>
      <c r="L74" s="31"/>
      <c r="M74" s="27">
        <f>M62+M72+M67+M71</f>
        <v>1435.12</v>
      </c>
      <c r="N74" s="27">
        <f>N62+N72+N67+N71+N73</f>
        <v>3152.4</v>
      </c>
      <c r="O74" s="31">
        <f>N74-M74</f>
        <v>1717.2800000000002</v>
      </c>
      <c r="P74" s="31">
        <f>N74/M74*100</f>
        <v>219.6610736384414</v>
      </c>
      <c r="Q74" s="31">
        <f>N74-8104.96</f>
        <v>-4952.5599999999995</v>
      </c>
      <c r="R74" s="127">
        <f>N74/8104.96</f>
        <v>0.38894701516108654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550493.27</v>
      </c>
      <c r="G75" s="44">
        <f>F75-E75</f>
        <v>4644.630000000005</v>
      </c>
      <c r="H75" s="45">
        <f>F75/E75*100</f>
        <v>100.85090071855818</v>
      </c>
      <c r="I75" s="31">
        <f>F75-D75</f>
        <v>-74633.79999999993</v>
      </c>
      <c r="J75" s="31">
        <f>F75/D75*100</f>
        <v>88.06101933803635</v>
      </c>
      <c r="K75" s="31">
        <f>K55+K74</f>
        <v>132455.058</v>
      </c>
      <c r="L75" s="31">
        <f>F75/(F75-K75)*100</f>
        <v>131.68491640185275</v>
      </c>
      <c r="M75" s="18">
        <f>M55+M74</f>
        <v>52110.560000000005</v>
      </c>
      <c r="N75" s="18">
        <f>N55+N74</f>
        <v>34935.780000000006</v>
      </c>
      <c r="O75" s="31">
        <f>N75-M75</f>
        <v>-17174.78</v>
      </c>
      <c r="P75" s="31">
        <f>N75/M75*100</f>
        <v>67.04165144262507</v>
      </c>
      <c r="Q75" s="31">
        <f>N75-42872.96</f>
        <v>-7937.179999999993</v>
      </c>
      <c r="R75" s="127">
        <f>N75/42872.96</f>
        <v>0.8148674595829167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9</v>
      </c>
      <c r="D77" s="4" t="s">
        <v>118</v>
      </c>
    </row>
    <row r="78" spans="2:17" ht="31.5">
      <c r="B78" s="71" t="s">
        <v>154</v>
      </c>
      <c r="C78" s="34">
        <f>IF(O55&lt;0,ABS(O55/C77),0)</f>
        <v>2099.1177777777775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42296</v>
      </c>
      <c r="D79" s="34">
        <v>2642.9</v>
      </c>
      <c r="G79" s="4" t="s">
        <v>166</v>
      </c>
      <c r="N79" s="252"/>
      <c r="O79" s="252"/>
    </row>
    <row r="80" spans="3:15" ht="15.75">
      <c r="C80" s="111">
        <v>42293</v>
      </c>
      <c r="D80" s="34">
        <v>3408.4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42292</v>
      </c>
      <c r="D81" s="34">
        <v>3739.5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20.205599999999997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2"/>
      <c r="O79" s="252"/>
    </row>
    <row r="80" spans="3:15" ht="15.75">
      <c r="C80" s="111">
        <v>42276</v>
      </c>
      <c r="D80" s="34">
        <v>6511.1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42275</v>
      </c>
      <c r="D81" s="34">
        <v>4229.6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f>1507100.82/1000</f>
        <v>1507.10082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8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69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2015-10-20T08:09:32Z</cp:lastPrinted>
  <dcterms:created xsi:type="dcterms:W3CDTF">2003-07-28T11:27:56Z</dcterms:created>
  <dcterms:modified xsi:type="dcterms:W3CDTF">2015-10-20T08:18:25Z</dcterms:modified>
  <cp:category/>
  <cp:version/>
  <cp:contentType/>
  <cp:contentStatus/>
</cp:coreProperties>
</file>